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Owner\Documents\2023\2023-OBJAVE-WEB\"/>
    </mc:Choice>
  </mc:AlternateContent>
  <xr:revisionPtr revIDLastSave="0" documentId="8_{945566EE-FB60-4473-B86F-7D511AE12DB1}" xr6:coauthVersionLast="47" xr6:coauthVersionMax="47" xr10:uidLastSave="{00000000-0000-0000-0000-000000000000}"/>
  <bookViews>
    <workbookView xWindow="-120" yWindow="-120" windowWidth="29040" windowHeight="15720" xr2:uid="{43A73338-2467-456E-95D5-E554EA652D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F42" i="1"/>
  <c r="E42" i="1"/>
  <c r="I42" i="1" s="1"/>
  <c r="D42" i="1"/>
  <c r="H42" i="1" s="1"/>
  <c r="C42" i="1"/>
  <c r="G42" i="1" s="1"/>
  <c r="H41" i="1"/>
  <c r="F39" i="1"/>
  <c r="E39" i="1"/>
  <c r="I39" i="1" s="1"/>
  <c r="D39" i="1"/>
  <c r="C39" i="1"/>
  <c r="G38" i="1"/>
  <c r="F38" i="1"/>
  <c r="I38" i="1" s="1"/>
  <c r="E38" i="1"/>
  <c r="D38" i="1"/>
  <c r="H38" i="1" s="1"/>
  <c r="C38" i="1"/>
  <c r="F37" i="1"/>
  <c r="E37" i="1"/>
  <c r="H37" i="1" s="1"/>
  <c r="D37" i="1"/>
  <c r="C37" i="1"/>
  <c r="G37" i="1" s="1"/>
  <c r="F36" i="1"/>
  <c r="E36" i="1"/>
  <c r="G36" i="1" s="1"/>
  <c r="D36" i="1"/>
  <c r="H36" i="1" s="1"/>
  <c r="C36" i="1"/>
  <c r="F35" i="1"/>
  <c r="I35" i="1" s="1"/>
  <c r="E35" i="1"/>
  <c r="D35" i="1"/>
  <c r="H35" i="1" s="1"/>
  <c r="C35" i="1"/>
  <c r="G35" i="1" s="1"/>
  <c r="F34" i="1"/>
  <c r="E34" i="1"/>
  <c r="I34" i="1" s="1"/>
  <c r="D34" i="1"/>
  <c r="C34" i="1"/>
  <c r="G34" i="1" s="1"/>
  <c r="I33" i="1"/>
  <c r="G33" i="1"/>
  <c r="F33" i="1"/>
  <c r="E33" i="1"/>
  <c r="D33" i="1"/>
  <c r="H33" i="1" s="1"/>
  <c r="C33" i="1"/>
  <c r="F32" i="1"/>
  <c r="C32" i="1"/>
  <c r="F31" i="1"/>
  <c r="E31" i="1"/>
  <c r="I31" i="1" s="1"/>
  <c r="D31" i="1"/>
  <c r="C31" i="1"/>
  <c r="I30" i="1"/>
  <c r="H30" i="1"/>
  <c r="G30" i="1"/>
  <c r="I29" i="1"/>
  <c r="G29" i="1"/>
  <c r="F29" i="1"/>
  <c r="E29" i="1"/>
  <c r="D29" i="1"/>
  <c r="H29" i="1" s="1"/>
  <c r="C29" i="1"/>
  <c r="F28" i="1"/>
  <c r="F26" i="1" s="1"/>
  <c r="F25" i="1" s="1"/>
  <c r="C28" i="1"/>
  <c r="I27" i="1"/>
  <c r="H27" i="1"/>
  <c r="G27" i="1"/>
  <c r="C26" i="1"/>
  <c r="C25" i="1" s="1"/>
  <c r="I24" i="1"/>
  <c r="H24" i="1"/>
  <c r="F24" i="1"/>
  <c r="E24" i="1"/>
  <c r="D24" i="1"/>
  <c r="C24" i="1"/>
  <c r="G24" i="1" s="1"/>
  <c r="H23" i="1"/>
  <c r="G23" i="1"/>
  <c r="F23" i="1"/>
  <c r="E23" i="1"/>
  <c r="I23" i="1" s="1"/>
  <c r="D23" i="1"/>
  <c r="C23" i="1"/>
  <c r="I22" i="1"/>
  <c r="H22" i="1"/>
  <c r="G22" i="1"/>
  <c r="I21" i="1"/>
  <c r="H21" i="1"/>
  <c r="F21" i="1"/>
  <c r="E21" i="1"/>
  <c r="C21" i="1"/>
  <c r="C16" i="1" s="1"/>
  <c r="H20" i="1"/>
  <c r="G20" i="1"/>
  <c r="F20" i="1"/>
  <c r="E20" i="1"/>
  <c r="I20" i="1" s="1"/>
  <c r="D20" i="1"/>
  <c r="C20" i="1"/>
  <c r="I19" i="1"/>
  <c r="H19" i="1"/>
  <c r="G19" i="1"/>
  <c r="I18" i="1"/>
  <c r="H18" i="1"/>
  <c r="G18" i="1"/>
  <c r="F17" i="1"/>
  <c r="E17" i="1"/>
  <c r="G17" i="1" s="1"/>
  <c r="D17" i="1"/>
  <c r="H17" i="1" s="1"/>
  <c r="C17" i="1"/>
  <c r="F16" i="1"/>
  <c r="D16" i="1"/>
  <c r="I15" i="1"/>
  <c r="H15" i="1"/>
  <c r="G15" i="1"/>
  <c r="I14" i="1"/>
  <c r="H14" i="1"/>
  <c r="G14" i="1"/>
  <c r="I13" i="1"/>
  <c r="H13" i="1"/>
  <c r="E13" i="1"/>
  <c r="C13" i="1"/>
  <c r="G13" i="1" s="1"/>
  <c r="I12" i="1"/>
  <c r="H12" i="1"/>
  <c r="G12" i="1"/>
  <c r="F12" i="1"/>
  <c r="I11" i="1"/>
  <c r="H11" i="1"/>
  <c r="G11" i="1"/>
  <c r="F10" i="1"/>
  <c r="E10" i="1"/>
  <c r="G10" i="1" s="1"/>
  <c r="D10" i="1"/>
  <c r="H10" i="1" s="1"/>
  <c r="C10" i="1"/>
  <c r="F9" i="1"/>
  <c r="I9" i="1" s="1"/>
  <c r="E9" i="1"/>
  <c r="D9" i="1"/>
  <c r="D8" i="1" s="1"/>
  <c r="C9" i="1"/>
  <c r="G9" i="1" s="1"/>
  <c r="D7" i="1" l="1"/>
  <c r="C8" i="1"/>
  <c r="G28" i="1"/>
  <c r="F8" i="1"/>
  <c r="F7" i="1" s="1"/>
  <c r="F44" i="1" s="1"/>
  <c r="D28" i="1"/>
  <c r="D32" i="1"/>
  <c r="H32" i="1" s="1"/>
  <c r="I37" i="1"/>
  <c r="H9" i="1"/>
  <c r="I10" i="1"/>
  <c r="I17" i="1"/>
  <c r="E28" i="1"/>
  <c r="E32" i="1"/>
  <c r="I32" i="1" s="1"/>
  <c r="I36" i="1"/>
  <c r="G21" i="1"/>
  <c r="H34" i="1"/>
  <c r="G31" i="1"/>
  <c r="G39" i="1"/>
  <c r="H31" i="1"/>
  <c r="H39" i="1"/>
  <c r="E16" i="1"/>
  <c r="G16" i="1" s="1"/>
  <c r="C7" i="1" l="1"/>
  <c r="E8" i="1"/>
  <c r="I16" i="1"/>
  <c r="G32" i="1"/>
  <c r="E26" i="1"/>
  <c r="I28" i="1"/>
  <c r="H16" i="1"/>
  <c r="F43" i="1"/>
  <c r="F40" i="1"/>
  <c r="D26" i="1"/>
  <c r="H28" i="1"/>
  <c r="F41" i="1"/>
  <c r="I26" i="1" l="1"/>
  <c r="E25" i="1"/>
  <c r="G26" i="1"/>
  <c r="I8" i="1"/>
  <c r="E7" i="1"/>
  <c r="G7" i="1" s="1"/>
  <c r="H8" i="1"/>
  <c r="D25" i="1"/>
  <c r="H26" i="1"/>
  <c r="G8" i="1"/>
  <c r="C40" i="1"/>
  <c r="C43" i="1"/>
  <c r="C41" i="1"/>
  <c r="G41" i="1" s="1"/>
  <c r="C44" i="1"/>
  <c r="G44" i="1" s="1"/>
  <c r="E43" i="1" l="1"/>
  <c r="I43" i="1" s="1"/>
  <c r="I7" i="1"/>
  <c r="E40" i="1"/>
  <c r="I40" i="1" s="1"/>
  <c r="H7" i="1"/>
  <c r="G40" i="1"/>
  <c r="E41" i="1"/>
  <c r="I41" i="1" s="1"/>
  <c r="I25" i="1"/>
  <c r="E44" i="1"/>
  <c r="I44" i="1" s="1"/>
  <c r="G25" i="1"/>
  <c r="H25" i="1"/>
  <c r="D40" i="1"/>
  <c r="H40" i="1" s="1"/>
  <c r="D43" i="1"/>
  <c r="H43" i="1" s="1"/>
  <c r="G43" i="1"/>
</calcChain>
</file>

<file path=xl/sharedStrings.xml><?xml version="1.0" encoding="utf-8"?>
<sst xmlns="http://schemas.openxmlformats.org/spreadsheetml/2006/main" count="61" uniqueCount="60">
  <si>
    <t>Plan računa dobiti i gubitka za 2023.</t>
  </si>
  <si>
    <t xml:space="preserve"> - iznosi u EUR, bez eurocenti</t>
  </si>
  <si>
    <t>R.
br.</t>
  </si>
  <si>
    <t>Elementi</t>
  </si>
  <si>
    <t>Ostvareno</t>
  </si>
  <si>
    <t>Usvojeni Plan / Rebalans plana</t>
  </si>
  <si>
    <t xml:space="preserve">Procjena 
ostvarenja </t>
  </si>
  <si>
    <t>Plan</t>
  </si>
  <si>
    <t>Indeksi</t>
  </si>
  <si>
    <t>I. - XII. 2021.</t>
  </si>
  <si>
    <t>I. - XII. 2022.</t>
  </si>
  <si>
    <t>I. - XII. 2023.</t>
  </si>
  <si>
    <t>5/3</t>
  </si>
  <si>
    <t>5/4</t>
  </si>
  <si>
    <t>6/5</t>
  </si>
  <si>
    <t>I.</t>
  </si>
  <si>
    <t>Ukupni prihodi  (1. + 2.)</t>
  </si>
  <si>
    <t>1. Poslovni prihodi - ukupno, od toga:</t>
  </si>
  <si>
    <t xml:space="preserve">    1) Prihodi od prodaje proizvoda i usluga 
         na domaćem tržištu (gospodarstvo i 
         građani ukupno)</t>
  </si>
  <si>
    <t xml:space="preserve">    2) Prihodi od prodaje proizvoda i usluga 
        povezanim društvima</t>
  </si>
  <si>
    <t xml:space="preserve">    3) Prihodi ostvareni između podružnica</t>
  </si>
  <si>
    <t xml:space="preserve">    4) Prihodi iz Proračuna Grada Zagreba, u tome:</t>
  </si>
  <si>
    <t xml:space="preserve">         a) od prodaje (za ugovorene redovne i 
             ostale programe radova)</t>
  </si>
  <si>
    <t xml:space="preserve">         b) zakupnine</t>
  </si>
  <si>
    <t xml:space="preserve">         c) subvencije i potpore</t>
  </si>
  <si>
    <t xml:space="preserve">    5) Drugi nespomenuti poslovni prihodi:</t>
  </si>
  <si>
    <t xml:space="preserve">         a) prihodi od zakupnina na tržištu</t>
  </si>
  <si>
    <t xml:space="preserve">         b) prihodi od prodaje robe na
             domaćem tržištu</t>
  </si>
  <si>
    <t xml:space="preserve">         c) odgođeni prihodi temeljem MRS-a 20
             (besplatno ustupljena dugotrajna imovina)</t>
  </si>
  <si>
    <t xml:space="preserve">         d) naplaćena otpisana potraživanja</t>
  </si>
  <si>
    <t xml:space="preserve">         e) prihodi od ukidanja rezerviranja</t>
  </si>
  <si>
    <t xml:space="preserve">         f) prihodi od revalorizacije</t>
  </si>
  <si>
    <t xml:space="preserve">         g) svi drugi nespomenuti poslovni prihodi</t>
  </si>
  <si>
    <t>2. Financijski prihodi</t>
  </si>
  <si>
    <t>II.</t>
  </si>
  <si>
    <t>Ukupni rashodi  (3. + 4.)</t>
  </si>
  <si>
    <t>3. Poslovni rashodi - ukupno, od toga:</t>
  </si>
  <si>
    <t xml:space="preserve"> 1) Promjene vrijednosti zaliha proizvodnje 
     u tijeku i gotovih proizvoda</t>
  </si>
  <si>
    <t xml:space="preserve"> 2) Materijalni troškovi, u tome:</t>
  </si>
  <si>
    <t xml:space="preserve">         a) troškovi sirovina i materijala</t>
  </si>
  <si>
    <t xml:space="preserve">         b) troškovi prodane robe</t>
  </si>
  <si>
    <t xml:space="preserve">         c) ostali vanjski troškovi</t>
  </si>
  <si>
    <t xml:space="preserve"> 3) Troškovi za zaposlene, u tome:</t>
  </si>
  <si>
    <t xml:space="preserve">         a) troškovi osoblja</t>
  </si>
  <si>
    <t xml:space="preserve">         b) naknade troškova radnicima i izdaci 
              za ostala materijalna prava radnika</t>
  </si>
  <si>
    <t xml:space="preserve"> 4) Amortizacija</t>
  </si>
  <si>
    <t xml:space="preserve"> 5) Vrijednosno usklađivanje
     dugotrajne i kratkotrajne imovine</t>
  </si>
  <si>
    <t xml:space="preserve"> 6) Rezerviranja</t>
  </si>
  <si>
    <t xml:space="preserve"> 7) Svi drugi nespomenuti poslovni rashodi</t>
  </si>
  <si>
    <t>4. Financijski rashodi</t>
  </si>
  <si>
    <t>III.</t>
  </si>
  <si>
    <t>Dobit prije oporezivanja</t>
  </si>
  <si>
    <t>IV.</t>
  </si>
  <si>
    <t>Gubitak prije oporezivanja</t>
  </si>
  <si>
    <t>V.</t>
  </si>
  <si>
    <t>Porez na dobit</t>
  </si>
  <si>
    <t>VI.</t>
  </si>
  <si>
    <t>Dobit razdoblja</t>
  </si>
  <si>
    <t>VII.</t>
  </si>
  <si>
    <t>Gubitak razdoblja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</si>
</sst>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General\.&quot; 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theme="0" tint="-0.34998626667073579"/>
      </bottom>
      <diagonal/>
    </border>
    <border>
      <left style="double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double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0" tint="-0.34998626667073579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34998626667073579"/>
      </top>
      <bottom/>
      <diagonal/>
    </border>
    <border>
      <left/>
      <right style="thin">
        <color indexed="64"/>
      </right>
      <top style="hair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/>
      <diagonal/>
    </border>
    <border>
      <left style="thin">
        <color indexed="64"/>
      </left>
      <right/>
      <top style="hair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 style="thin">
        <color indexed="64"/>
      </left>
      <right style="medium">
        <color indexed="64"/>
      </right>
      <top style="hair">
        <color theme="0" tint="-0.34998626667073579"/>
      </top>
      <bottom/>
      <diagonal/>
    </border>
    <border>
      <left style="double">
        <color indexed="64"/>
      </left>
      <right style="thin">
        <color indexed="64"/>
      </right>
      <top style="hair">
        <color theme="0" tint="-0.34998626667073579"/>
      </top>
      <bottom style="double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double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0" tint="-0.34998626667073579"/>
      </top>
      <bottom style="double">
        <color indexed="64"/>
      </bottom>
      <diagonal/>
    </border>
    <border>
      <left/>
      <right/>
      <top style="hair">
        <color theme="0" tint="-0.34998626667073579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0" tint="-0.34998626667073579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vertical="center" wrapText="1"/>
    </xf>
    <xf numFmtId="3" fontId="1" fillId="0" borderId="2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1" fillId="0" borderId="8" xfId="0" applyFont="1" applyBorder="1" applyAlignment="1" applyProtection="1">
      <alignment vertical="center"/>
      <protection locked="0"/>
    </xf>
    <xf numFmtId="3" fontId="2" fillId="0" borderId="27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4" fontId="2" fillId="0" borderId="33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vertical="center" wrapText="1"/>
      <protection locked="0"/>
    </xf>
    <xf numFmtId="3" fontId="2" fillId="0" borderId="34" xfId="0" applyNumberFormat="1" applyFont="1" applyBorder="1" applyAlignment="1" applyProtection="1">
      <alignment horizontal="right" vertical="center"/>
      <protection locked="0"/>
    </xf>
    <xf numFmtId="3" fontId="2" fillId="0" borderId="35" xfId="0" applyNumberFormat="1" applyFont="1" applyBorder="1" applyAlignment="1" applyProtection="1">
      <alignment horizontal="right" vertical="center"/>
      <protection locked="0"/>
    </xf>
    <xf numFmtId="3" fontId="2" fillId="0" borderId="36" xfId="0" applyNumberFormat="1" applyFont="1" applyBorder="1" applyAlignment="1" applyProtection="1">
      <alignment horizontal="right" vertical="center"/>
      <protection locked="0"/>
    </xf>
    <xf numFmtId="3" fontId="2" fillId="0" borderId="37" xfId="0" applyNumberFormat="1" applyFont="1" applyBorder="1" applyAlignment="1" applyProtection="1">
      <alignment horizontal="right" vertical="center"/>
      <protection locked="0"/>
    </xf>
    <xf numFmtId="164" fontId="2" fillId="0" borderId="38" xfId="0" applyNumberFormat="1" applyFont="1" applyBorder="1" applyAlignment="1">
      <alignment horizontal="right" vertical="center"/>
    </xf>
    <xf numFmtId="164" fontId="2" fillId="0" borderId="39" xfId="0" applyNumberFormat="1" applyFont="1" applyBorder="1" applyAlignment="1">
      <alignment horizontal="right" vertical="center"/>
    </xf>
    <xf numFmtId="164" fontId="2" fillId="0" borderId="40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left" vertical="center" wrapText="1"/>
      <protection locked="0"/>
    </xf>
    <xf numFmtId="3" fontId="2" fillId="0" borderId="41" xfId="0" applyNumberFormat="1" applyFont="1" applyBorder="1" applyAlignment="1" applyProtection="1">
      <alignment horizontal="right" vertical="center"/>
      <protection locked="0"/>
    </xf>
    <xf numFmtId="3" fontId="2" fillId="0" borderId="42" xfId="0" applyNumberFormat="1" applyFont="1" applyBorder="1" applyAlignment="1" applyProtection="1">
      <alignment horizontal="right" vertical="center"/>
      <protection locked="0"/>
    </xf>
    <xf numFmtId="3" fontId="2" fillId="0" borderId="43" xfId="0" applyNumberFormat="1" applyFont="1" applyBorder="1" applyAlignment="1" applyProtection="1">
      <alignment horizontal="right" vertical="center"/>
      <protection locked="0"/>
    </xf>
    <xf numFmtId="3" fontId="2" fillId="0" borderId="44" xfId="0" applyNumberFormat="1" applyFont="1" applyBorder="1" applyAlignment="1" applyProtection="1">
      <alignment horizontal="right" vertical="center"/>
      <protection locked="0"/>
    </xf>
    <xf numFmtId="164" fontId="2" fillId="0" borderId="45" xfId="0" applyNumberFormat="1" applyFont="1" applyBorder="1" applyAlignment="1">
      <alignment horizontal="right" vertical="center"/>
    </xf>
    <xf numFmtId="164" fontId="2" fillId="0" borderId="46" xfId="0" applyNumberFormat="1" applyFont="1" applyBorder="1" applyAlignment="1">
      <alignment horizontal="right" vertical="center"/>
    </xf>
    <xf numFmtId="164" fontId="2" fillId="0" borderId="47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/>
    </xf>
    <xf numFmtId="3" fontId="2" fillId="0" borderId="50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164" fontId="2" fillId="0" borderId="52" xfId="0" applyNumberFormat="1" applyFont="1" applyBorder="1" applyAlignment="1">
      <alignment horizontal="right" vertical="center"/>
    </xf>
    <xf numFmtId="164" fontId="2" fillId="0" borderId="53" xfId="0" applyNumberFormat="1" applyFont="1" applyBorder="1" applyAlignment="1">
      <alignment horizontal="right" vertical="center"/>
    </xf>
    <xf numFmtId="164" fontId="2" fillId="0" borderId="54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 applyProtection="1">
      <alignment horizontal="right" vertical="center"/>
      <protection locked="0"/>
    </xf>
    <xf numFmtId="3" fontId="2" fillId="0" borderId="56" xfId="0" applyNumberFormat="1" applyFont="1" applyBorder="1" applyAlignment="1" applyProtection="1">
      <alignment horizontal="right" vertical="center"/>
      <protection locked="0"/>
    </xf>
    <xf numFmtId="3" fontId="2" fillId="0" borderId="57" xfId="0" applyNumberFormat="1" applyFont="1" applyBorder="1" applyAlignment="1" applyProtection="1">
      <alignment horizontal="right" vertical="center"/>
      <protection locked="0"/>
    </xf>
    <xf numFmtId="3" fontId="2" fillId="0" borderId="58" xfId="0" applyNumberFormat="1" applyFont="1" applyBorder="1" applyAlignment="1" applyProtection="1">
      <alignment horizontal="right" vertical="center"/>
      <protection locked="0"/>
    </xf>
    <xf numFmtId="164" fontId="2" fillId="0" borderId="59" xfId="0" applyNumberFormat="1" applyFont="1" applyBorder="1" applyAlignment="1">
      <alignment horizontal="right" vertical="center"/>
    </xf>
    <xf numFmtId="164" fontId="2" fillId="0" borderId="60" xfId="0" applyNumberFormat="1" applyFont="1" applyBorder="1" applyAlignment="1">
      <alignment horizontal="right" vertical="center"/>
    </xf>
    <xf numFmtId="164" fontId="2" fillId="0" borderId="61" xfId="0" applyNumberFormat="1" applyFont="1" applyBorder="1" applyAlignment="1">
      <alignment horizontal="right" vertical="center"/>
    </xf>
    <xf numFmtId="3" fontId="2" fillId="0" borderId="62" xfId="0" applyNumberFormat="1" applyFont="1" applyBorder="1" applyAlignment="1">
      <alignment horizontal="right" vertical="center"/>
    </xf>
    <xf numFmtId="3" fontId="2" fillId="0" borderId="63" xfId="0" applyNumberFormat="1" applyFont="1" applyBorder="1" applyAlignment="1">
      <alignment horizontal="right" vertical="center"/>
    </xf>
    <xf numFmtId="3" fontId="2" fillId="0" borderId="64" xfId="0" applyNumberFormat="1" applyFont="1" applyBorder="1" applyAlignment="1">
      <alignment horizontal="right" vertical="center"/>
    </xf>
    <xf numFmtId="3" fontId="2" fillId="0" borderId="65" xfId="0" applyNumberFormat="1" applyFont="1" applyBorder="1" applyAlignment="1">
      <alignment horizontal="right" vertical="center"/>
    </xf>
    <xf numFmtId="164" fontId="2" fillId="0" borderId="66" xfId="0" applyNumberFormat="1" applyFont="1" applyBorder="1" applyAlignment="1">
      <alignment horizontal="right" vertical="center"/>
    </xf>
    <xf numFmtId="164" fontId="2" fillId="0" borderId="67" xfId="0" applyNumberFormat="1" applyFont="1" applyBorder="1" applyAlignment="1">
      <alignment horizontal="right" vertical="center"/>
    </xf>
    <xf numFmtId="164" fontId="2" fillId="0" borderId="68" xfId="0" applyNumberFormat="1" applyFont="1" applyBorder="1" applyAlignment="1">
      <alignment horizontal="right" vertical="center"/>
    </xf>
    <xf numFmtId="3" fontId="2" fillId="0" borderId="69" xfId="0" applyNumberFormat="1" applyFont="1" applyBorder="1" applyAlignment="1" applyProtection="1">
      <alignment horizontal="right" vertical="center"/>
      <protection locked="0"/>
    </xf>
    <xf numFmtId="3" fontId="2" fillId="0" borderId="70" xfId="0" applyNumberFormat="1" applyFont="1" applyBorder="1" applyAlignment="1" applyProtection="1">
      <alignment horizontal="right" vertical="center"/>
      <protection locked="0"/>
    </xf>
    <xf numFmtId="3" fontId="2" fillId="0" borderId="71" xfId="0" applyNumberFormat="1" applyFont="1" applyBorder="1" applyAlignment="1" applyProtection="1">
      <alignment horizontal="right" vertical="center"/>
      <protection locked="0"/>
    </xf>
    <xf numFmtId="3" fontId="2" fillId="0" borderId="72" xfId="0" applyNumberFormat="1" applyFont="1" applyBorder="1" applyAlignment="1" applyProtection="1">
      <alignment horizontal="right" vertical="center"/>
      <protection locked="0"/>
    </xf>
    <xf numFmtId="164" fontId="2" fillId="0" borderId="73" xfId="0" applyNumberFormat="1" applyFont="1" applyBorder="1" applyAlignment="1">
      <alignment horizontal="right" vertical="center"/>
    </xf>
    <xf numFmtId="164" fontId="2" fillId="0" borderId="74" xfId="0" applyNumberFormat="1" applyFont="1" applyBorder="1" applyAlignment="1">
      <alignment horizontal="right" vertical="center"/>
    </xf>
    <xf numFmtId="164" fontId="2" fillId="0" borderId="75" xfId="0" applyNumberFormat="1" applyFont="1" applyBorder="1" applyAlignment="1">
      <alignment horizontal="right" vertical="center"/>
    </xf>
    <xf numFmtId="3" fontId="2" fillId="0" borderId="76" xfId="0" applyNumberFormat="1" applyFont="1" applyBorder="1" applyAlignment="1" applyProtection="1">
      <alignment horizontal="right" vertical="center"/>
      <protection locked="0"/>
    </xf>
    <xf numFmtId="3" fontId="2" fillId="0" borderId="77" xfId="0" applyNumberFormat="1" applyFont="1" applyBorder="1" applyAlignment="1" applyProtection="1">
      <alignment horizontal="right" vertical="center"/>
      <protection locked="0"/>
    </xf>
    <xf numFmtId="3" fontId="2" fillId="0" borderId="78" xfId="0" applyNumberFormat="1" applyFont="1" applyBorder="1" applyAlignment="1" applyProtection="1">
      <alignment horizontal="right" vertical="center"/>
      <protection locked="0"/>
    </xf>
    <xf numFmtId="3" fontId="2" fillId="0" borderId="79" xfId="0" applyNumberFormat="1" applyFont="1" applyBorder="1" applyAlignment="1" applyProtection="1">
      <alignment horizontal="right" vertical="center"/>
      <protection locked="0"/>
    </xf>
    <xf numFmtId="164" fontId="2" fillId="0" borderId="80" xfId="0" applyNumberFormat="1" applyFont="1" applyBorder="1" applyAlignment="1">
      <alignment horizontal="right" vertical="center"/>
    </xf>
    <xf numFmtId="164" fontId="2" fillId="0" borderId="81" xfId="0" applyNumberFormat="1" applyFont="1" applyBorder="1" applyAlignment="1">
      <alignment horizontal="right" vertical="center"/>
    </xf>
    <xf numFmtId="164" fontId="2" fillId="0" borderId="82" xfId="0" applyNumberFormat="1" applyFont="1" applyBorder="1" applyAlignment="1">
      <alignment horizontal="right" vertical="center"/>
    </xf>
    <xf numFmtId="0" fontId="1" fillId="0" borderId="10" xfId="0" applyFont="1" applyBorder="1" applyAlignment="1" applyProtection="1">
      <alignment vertical="center"/>
      <protection locked="0"/>
    </xf>
    <xf numFmtId="3" fontId="2" fillId="0" borderId="83" xfId="0" applyNumberFormat="1" applyFont="1" applyBorder="1" applyAlignment="1" applyProtection="1">
      <alignment horizontal="right" vertical="center"/>
      <protection locked="0"/>
    </xf>
    <xf numFmtId="3" fontId="2" fillId="0" borderId="84" xfId="0" applyNumberFormat="1" applyFont="1" applyBorder="1" applyAlignment="1" applyProtection="1">
      <alignment horizontal="right" vertical="center"/>
      <protection locked="0"/>
    </xf>
    <xf numFmtId="3" fontId="2" fillId="0" borderId="85" xfId="0" applyNumberFormat="1" applyFont="1" applyBorder="1" applyAlignment="1" applyProtection="1">
      <alignment horizontal="right" vertical="center"/>
      <protection locked="0"/>
    </xf>
    <xf numFmtId="3" fontId="2" fillId="0" borderId="86" xfId="0" applyNumberFormat="1" applyFont="1" applyBorder="1" applyAlignment="1" applyProtection="1">
      <alignment horizontal="right" vertical="center"/>
      <protection locked="0"/>
    </xf>
    <xf numFmtId="164" fontId="2" fillId="0" borderId="87" xfId="0" applyNumberFormat="1" applyFont="1" applyBorder="1" applyAlignment="1">
      <alignment horizontal="right" vertical="center"/>
    </xf>
    <xf numFmtId="164" fontId="2" fillId="0" borderId="88" xfId="0" applyNumberFormat="1" applyFont="1" applyBorder="1" applyAlignment="1">
      <alignment horizontal="right" vertical="center"/>
    </xf>
    <xf numFmtId="164" fontId="2" fillId="0" borderId="8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3" fontId="2" fillId="0" borderId="90" xfId="0" applyNumberFormat="1" applyFont="1" applyBorder="1" applyAlignment="1" applyProtection="1">
      <alignment horizontal="right" vertical="center"/>
      <protection locked="0"/>
    </xf>
    <xf numFmtId="3" fontId="2" fillId="0" borderId="91" xfId="0" applyNumberFormat="1" applyFont="1" applyBorder="1" applyAlignment="1" applyProtection="1">
      <alignment horizontal="right" vertical="center"/>
      <protection locked="0"/>
    </xf>
    <xf numFmtId="3" fontId="2" fillId="0" borderId="92" xfId="0" applyNumberFormat="1" applyFont="1" applyBorder="1" applyAlignment="1" applyProtection="1">
      <alignment horizontal="right" vertical="center"/>
      <protection locked="0"/>
    </xf>
    <xf numFmtId="3" fontId="2" fillId="0" borderId="93" xfId="0" applyNumberFormat="1" applyFont="1" applyBorder="1" applyAlignment="1" applyProtection="1">
      <alignment horizontal="right" vertical="center"/>
      <protection locked="0"/>
    </xf>
    <xf numFmtId="164" fontId="2" fillId="0" borderId="94" xfId="0" applyNumberFormat="1" applyFont="1" applyBorder="1" applyAlignment="1">
      <alignment horizontal="right" vertical="center"/>
    </xf>
    <xf numFmtId="164" fontId="2" fillId="0" borderId="95" xfId="0" applyNumberFormat="1" applyFont="1" applyBorder="1" applyAlignment="1">
      <alignment horizontal="right" vertical="center"/>
    </xf>
    <xf numFmtId="164" fontId="2" fillId="0" borderId="96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 applyProtection="1">
      <alignment horizontal="right" vertical="center"/>
      <protection locked="0"/>
    </xf>
    <xf numFmtId="3" fontId="2" fillId="0" borderId="49" xfId="0" applyNumberFormat="1" applyFont="1" applyBorder="1" applyAlignment="1" applyProtection="1">
      <alignment horizontal="right" vertical="center"/>
      <protection locked="0"/>
    </xf>
    <xf numFmtId="3" fontId="2" fillId="0" borderId="50" xfId="0" applyNumberFormat="1" applyFont="1" applyBorder="1" applyAlignment="1" applyProtection="1">
      <alignment horizontal="right" vertical="center"/>
      <protection locked="0"/>
    </xf>
    <xf numFmtId="3" fontId="2" fillId="0" borderId="51" xfId="0" applyNumberFormat="1" applyFont="1" applyBorder="1" applyAlignment="1" applyProtection="1">
      <alignment horizontal="right" vertical="center"/>
      <protection locked="0"/>
    </xf>
    <xf numFmtId="3" fontId="2" fillId="0" borderId="62" xfId="0" applyNumberFormat="1" applyFont="1" applyBorder="1" applyAlignment="1" applyProtection="1">
      <alignment horizontal="right" vertical="center"/>
      <protection locked="0"/>
    </xf>
    <xf numFmtId="3" fontId="2" fillId="0" borderId="63" xfId="0" applyNumberFormat="1" applyFont="1" applyBorder="1" applyAlignment="1" applyProtection="1">
      <alignment horizontal="right" vertical="center"/>
      <protection locked="0"/>
    </xf>
    <xf numFmtId="3" fontId="2" fillId="0" borderId="64" xfId="0" applyNumberFormat="1" applyFont="1" applyBorder="1" applyAlignment="1" applyProtection="1">
      <alignment horizontal="right" vertical="center"/>
      <protection locked="0"/>
    </xf>
    <xf numFmtId="3" fontId="2" fillId="0" borderId="65" xfId="0" applyNumberFormat="1" applyFont="1" applyBorder="1" applyAlignment="1" applyProtection="1">
      <alignment horizontal="right" vertical="center"/>
      <protection locked="0"/>
    </xf>
    <xf numFmtId="3" fontId="2" fillId="0" borderId="97" xfId="0" applyNumberFormat="1" applyFont="1" applyBorder="1" applyAlignment="1" applyProtection="1">
      <alignment horizontal="right" vertical="center"/>
      <protection locked="0"/>
    </xf>
    <xf numFmtId="3" fontId="2" fillId="0" borderId="98" xfId="0" applyNumberFormat="1" applyFont="1" applyBorder="1" applyAlignment="1" applyProtection="1">
      <alignment horizontal="right" vertical="center"/>
      <protection locked="0"/>
    </xf>
    <xf numFmtId="3" fontId="2" fillId="0" borderId="99" xfId="0" applyNumberFormat="1" applyFont="1" applyBorder="1" applyAlignment="1" applyProtection="1">
      <alignment horizontal="right" vertical="center"/>
      <protection locked="0"/>
    </xf>
    <xf numFmtId="3" fontId="2" fillId="0" borderId="100" xfId="0" applyNumberFormat="1" applyFont="1" applyBorder="1" applyAlignment="1" applyProtection="1">
      <alignment horizontal="right" vertical="center"/>
      <protection locked="0"/>
    </xf>
    <xf numFmtId="164" fontId="2" fillId="0" borderId="101" xfId="0" applyNumberFormat="1" applyFont="1" applyBorder="1" applyAlignment="1">
      <alignment horizontal="right" vertical="center"/>
    </xf>
    <xf numFmtId="164" fontId="2" fillId="0" borderId="102" xfId="0" applyNumberFormat="1" applyFont="1" applyBorder="1" applyAlignment="1">
      <alignment horizontal="right" vertical="center"/>
    </xf>
    <xf numFmtId="164" fontId="2" fillId="0" borderId="10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65" fontId="1" fillId="0" borderId="45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vertical="center"/>
    </xf>
    <xf numFmtId="3" fontId="1" fillId="0" borderId="41" xfId="0" applyNumberFormat="1" applyFont="1" applyBorder="1" applyAlignment="1">
      <alignment horizontal="right" vertical="center"/>
    </xf>
    <xf numFmtId="3" fontId="1" fillId="0" borderId="43" xfId="0" applyNumberFormat="1" applyFont="1" applyBorder="1" applyAlignment="1">
      <alignment horizontal="right" vertical="center"/>
    </xf>
    <xf numFmtId="3" fontId="1" fillId="0" borderId="44" xfId="0" applyNumberFormat="1" applyFont="1" applyBorder="1" applyAlignment="1">
      <alignment horizontal="right" vertical="center"/>
    </xf>
    <xf numFmtId="164" fontId="1" fillId="0" borderId="45" xfId="0" applyNumberFormat="1" applyFont="1" applyBorder="1" applyAlignment="1">
      <alignment horizontal="right" vertical="center"/>
    </xf>
    <xf numFmtId="164" fontId="1" fillId="0" borderId="46" xfId="0" applyNumberFormat="1" applyFont="1" applyBorder="1" applyAlignment="1">
      <alignment horizontal="right" vertical="center"/>
    </xf>
    <xf numFmtId="164" fontId="1" fillId="0" borderId="47" xfId="0" applyNumberFormat="1" applyFont="1" applyBorder="1" applyAlignment="1">
      <alignment horizontal="right" vertical="center"/>
    </xf>
    <xf numFmtId="3" fontId="1" fillId="0" borderId="42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 applyProtection="1">
      <alignment horizontal="right" vertical="center"/>
      <protection locked="0"/>
    </xf>
    <xf numFmtId="3" fontId="1" fillId="0" borderId="42" xfId="0" applyNumberFormat="1" applyFont="1" applyBorder="1" applyAlignment="1" applyProtection="1">
      <alignment horizontal="right" vertical="center"/>
      <protection locked="0"/>
    </xf>
    <xf numFmtId="3" fontId="1" fillId="0" borderId="43" xfId="0" applyNumberFormat="1" applyFont="1" applyBorder="1" applyAlignment="1" applyProtection="1">
      <alignment horizontal="right" vertical="center"/>
      <protection locked="0"/>
    </xf>
    <xf numFmtId="3" fontId="1" fillId="0" borderId="44" xfId="0" applyNumberFormat="1" applyFont="1" applyBorder="1" applyAlignment="1" applyProtection="1">
      <alignment horizontal="right" vertical="center"/>
      <protection locked="0"/>
    </xf>
    <xf numFmtId="165" fontId="1" fillId="0" borderId="104" xfId="0" applyNumberFormat="1" applyFont="1" applyBorder="1" applyAlignment="1">
      <alignment horizontal="right" vertical="center"/>
    </xf>
    <xf numFmtId="0" fontId="1" fillId="0" borderId="105" xfId="0" applyFont="1" applyBorder="1" applyAlignment="1">
      <alignment vertical="center"/>
    </xf>
    <xf numFmtId="3" fontId="1" fillId="0" borderId="106" xfId="0" applyNumberFormat="1" applyFont="1" applyBorder="1" applyAlignment="1">
      <alignment horizontal="right" vertical="center"/>
    </xf>
    <xf numFmtId="3" fontId="1" fillId="0" borderId="107" xfId="0" applyNumberFormat="1" applyFont="1" applyBorder="1" applyAlignment="1">
      <alignment horizontal="right" vertical="center"/>
    </xf>
    <xf numFmtId="3" fontId="1" fillId="0" borderId="105" xfId="0" applyNumberFormat="1" applyFont="1" applyBorder="1" applyAlignment="1">
      <alignment horizontal="right" vertical="center"/>
    </xf>
    <xf numFmtId="3" fontId="1" fillId="0" borderId="108" xfId="0" applyNumberFormat="1" applyFont="1" applyBorder="1" applyAlignment="1">
      <alignment horizontal="right" vertical="center"/>
    </xf>
    <xf numFmtId="164" fontId="1" fillId="0" borderId="104" xfId="0" applyNumberFormat="1" applyFont="1" applyBorder="1" applyAlignment="1">
      <alignment horizontal="right" vertical="center"/>
    </xf>
    <xf numFmtId="164" fontId="1" fillId="0" borderId="109" xfId="0" applyNumberFormat="1" applyFont="1" applyBorder="1" applyAlignment="1">
      <alignment horizontal="right" vertical="center"/>
    </xf>
    <xf numFmtId="164" fontId="1" fillId="0" borderId="11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CA00E-6848-47F6-B6CB-27EA4C4226F1}">
  <dimension ref="A1:I44"/>
  <sheetViews>
    <sheetView tabSelected="1" topLeftCell="A17" workbookViewId="0">
      <selection activeCell="K6" sqref="K6"/>
    </sheetView>
  </sheetViews>
  <sheetFormatPr defaultRowHeight="15" x14ac:dyDescent="0.25"/>
  <cols>
    <col min="2" max="2" width="43.85546875" bestFit="1" customWidth="1"/>
    <col min="3" max="6" width="11.42578125" bestFit="1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x14ac:dyDescent="0.2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.75" thickBot="1" x14ac:dyDescent="0.3">
      <c r="A3" s="2"/>
      <c r="B3" s="2"/>
      <c r="C3" s="2"/>
      <c r="D3" s="2"/>
      <c r="E3" s="2"/>
      <c r="F3" s="2"/>
      <c r="G3" s="2"/>
      <c r="H3" s="2"/>
      <c r="I3" s="4" t="s">
        <v>1</v>
      </c>
    </row>
    <row r="4" spans="1:9" ht="57" x14ac:dyDescent="0.25">
      <c r="A4" s="5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10"/>
      <c r="I4" s="11"/>
    </row>
    <row r="5" spans="1:9" ht="29.25" thickBot="1" x14ac:dyDescent="0.3">
      <c r="A5" s="12"/>
      <c r="B5" s="13"/>
      <c r="C5" s="14" t="s">
        <v>9</v>
      </c>
      <c r="D5" s="15" t="s">
        <v>10</v>
      </c>
      <c r="E5" s="15" t="s">
        <v>10</v>
      </c>
      <c r="F5" s="16" t="s">
        <v>11</v>
      </c>
      <c r="G5" s="17" t="s">
        <v>12</v>
      </c>
      <c r="H5" s="18" t="s">
        <v>13</v>
      </c>
      <c r="I5" s="19" t="s">
        <v>14</v>
      </c>
    </row>
    <row r="6" spans="1:9" ht="15.75" thickBot="1" x14ac:dyDescent="0.3">
      <c r="A6" s="20">
        <v>1</v>
      </c>
      <c r="B6" s="21">
        <v>2</v>
      </c>
      <c r="C6" s="22">
        <v>3</v>
      </c>
      <c r="D6" s="23">
        <v>4</v>
      </c>
      <c r="E6" s="21">
        <v>5</v>
      </c>
      <c r="F6" s="24">
        <v>6</v>
      </c>
      <c r="G6" s="20">
        <v>7</v>
      </c>
      <c r="H6" s="25">
        <v>8</v>
      </c>
      <c r="I6" s="26">
        <v>9</v>
      </c>
    </row>
    <row r="7" spans="1:9" ht="16.5" thickTop="1" thickBot="1" x14ac:dyDescent="0.3">
      <c r="A7" s="27" t="s">
        <v>15</v>
      </c>
      <c r="B7" s="28" t="s">
        <v>16</v>
      </c>
      <c r="C7" s="29">
        <f>SUM(C8,C24)</f>
        <v>3457738.1020638389</v>
      </c>
      <c r="D7" s="30">
        <f>D8+D24</f>
        <v>4116447.0104187406</v>
      </c>
      <c r="E7" s="31">
        <f>SUM(E8,E24)</f>
        <v>4198549.994027474</v>
      </c>
      <c r="F7" s="32">
        <f>SUM(F8,F24)</f>
        <v>4500766.9785652664</v>
      </c>
      <c r="G7" s="33">
        <f>IF(C7=0,"",E7/C7*100)</f>
        <v>121.42475427856907</v>
      </c>
      <c r="H7" s="34">
        <f>IF(D7=0,"",E7/D7*100)</f>
        <v>101.99451088283003</v>
      </c>
      <c r="I7" s="35">
        <f>IF(E7=0,"",F7/E7*100)</f>
        <v>107.19812756708156</v>
      </c>
    </row>
    <row r="8" spans="1:9" ht="15.75" thickBot="1" x14ac:dyDescent="0.3">
      <c r="A8" s="36"/>
      <c r="B8" s="37" t="s">
        <v>17</v>
      </c>
      <c r="C8" s="38">
        <f>SUM(C9,C10,C11,C12,C16)</f>
        <v>3427936.5160262785</v>
      </c>
      <c r="D8" s="39">
        <f>D9+D10+D11+D12+D16</f>
        <v>4098914.3274271684</v>
      </c>
      <c r="E8" s="40">
        <f>SUM(E9,E10,E11,E12,E16)</f>
        <v>4136113.9053686378</v>
      </c>
      <c r="F8" s="41">
        <f>SUM(F9,F10,F11,F12,F16)</f>
        <v>4480265.3128940212</v>
      </c>
      <c r="G8" s="42">
        <f t="shared" ref="G8:G44" si="0">IF(C8=0,"",E8/C8*100)</f>
        <v>120.65899954773056</v>
      </c>
      <c r="H8" s="43">
        <f t="shared" ref="H8:I44" si="1">IF(D8=0,"",E8/D8*100)</f>
        <v>100.90754709588718</v>
      </c>
      <c r="I8" s="44">
        <f t="shared" si="1"/>
        <v>108.32064627327304</v>
      </c>
    </row>
    <row r="9" spans="1:9" ht="43.5" thickTop="1" x14ac:dyDescent="0.25">
      <c r="A9" s="36"/>
      <c r="B9" s="45" t="s">
        <v>18</v>
      </c>
      <c r="C9" s="46">
        <f>25123431.34/7.5345</f>
        <v>3334452.3644568315</v>
      </c>
      <c r="D9" s="47">
        <f>30545270/7.5345</f>
        <v>4054054.0181830246</v>
      </c>
      <c r="E9" s="48">
        <f>30682575.28/7.5345</f>
        <v>4072277.5605547815</v>
      </c>
      <c r="F9" s="49">
        <f>33420671/7.5345</f>
        <v>4435685.314221249</v>
      </c>
      <c r="G9" s="50">
        <f t="shared" si="0"/>
        <v>122.1273275324819</v>
      </c>
      <c r="H9" s="51">
        <f t="shared" si="1"/>
        <v>100.4495140491474</v>
      </c>
      <c r="I9" s="52">
        <f t="shared" si="1"/>
        <v>108.9239436227662</v>
      </c>
    </row>
    <row r="10" spans="1:9" ht="28.5" x14ac:dyDescent="0.25">
      <c r="A10" s="36"/>
      <c r="B10" s="53" t="s">
        <v>19</v>
      </c>
      <c r="C10" s="46">
        <f>250730.63/7.5345</f>
        <v>33277.673369168493</v>
      </c>
      <c r="D10" s="47">
        <f>120000/7.5345</f>
        <v>15926.737009755125</v>
      </c>
      <c r="E10" s="48">
        <f>98162.38/7.5345</f>
        <v>13028.38675426372</v>
      </c>
      <c r="F10" s="49">
        <f>68084/7.5345</f>
        <v>9036.2996881014005</v>
      </c>
      <c r="G10" s="50">
        <f t="shared" si="0"/>
        <v>39.150533782011394</v>
      </c>
      <c r="H10" s="51">
        <f t="shared" si="1"/>
        <v>81.801983333333339</v>
      </c>
      <c r="I10" s="52">
        <f t="shared" si="1"/>
        <v>69.358546522608762</v>
      </c>
    </row>
    <row r="11" spans="1:9" x14ac:dyDescent="0.25">
      <c r="A11" s="36"/>
      <c r="B11" s="53" t="s">
        <v>20</v>
      </c>
      <c r="C11" s="46"/>
      <c r="D11" s="47"/>
      <c r="E11" s="48"/>
      <c r="F11" s="49"/>
      <c r="G11" s="50" t="str">
        <f t="shared" si="0"/>
        <v/>
      </c>
      <c r="H11" s="51" t="str">
        <f t="shared" si="1"/>
        <v/>
      </c>
      <c r="I11" s="52" t="str">
        <f t="shared" si="1"/>
        <v/>
      </c>
    </row>
    <row r="12" spans="1:9" ht="28.5" x14ac:dyDescent="0.25">
      <c r="A12" s="36"/>
      <c r="B12" s="45" t="s">
        <v>21</v>
      </c>
      <c r="C12" s="54"/>
      <c r="D12" s="55"/>
      <c r="E12" s="56"/>
      <c r="F12" s="57">
        <f>SUM(F13:F15)</f>
        <v>0</v>
      </c>
      <c r="G12" s="58" t="str">
        <f t="shared" si="0"/>
        <v/>
      </c>
      <c r="H12" s="59" t="str">
        <f t="shared" si="1"/>
        <v/>
      </c>
      <c r="I12" s="60" t="str">
        <f t="shared" si="1"/>
        <v/>
      </c>
    </row>
    <row r="13" spans="1:9" ht="28.5" x14ac:dyDescent="0.25">
      <c r="A13" s="36"/>
      <c r="B13" s="53" t="s">
        <v>22</v>
      </c>
      <c r="C13" s="61">
        <f>SUM(C14:C15)</f>
        <v>0</v>
      </c>
      <c r="D13" s="62"/>
      <c r="E13" s="63">
        <f>SUM(E14:E15)</f>
        <v>0</v>
      </c>
      <c r="F13" s="64"/>
      <c r="G13" s="65" t="str">
        <f t="shared" si="0"/>
        <v/>
      </c>
      <c r="H13" s="66" t="str">
        <f t="shared" si="1"/>
        <v/>
      </c>
      <c r="I13" s="67" t="str">
        <f t="shared" si="1"/>
        <v/>
      </c>
    </row>
    <row r="14" spans="1:9" x14ac:dyDescent="0.25">
      <c r="A14" s="36"/>
      <c r="B14" s="53" t="s">
        <v>23</v>
      </c>
      <c r="C14" s="68"/>
      <c r="D14" s="69"/>
      <c r="E14" s="70"/>
      <c r="F14" s="71"/>
      <c r="G14" s="72" t="str">
        <f t="shared" si="0"/>
        <v/>
      </c>
      <c r="H14" s="73" t="str">
        <f t="shared" si="1"/>
        <v/>
      </c>
      <c r="I14" s="74" t="str">
        <f t="shared" si="1"/>
        <v/>
      </c>
    </row>
    <row r="15" spans="1:9" x14ac:dyDescent="0.25">
      <c r="A15" s="36"/>
      <c r="B15" s="53" t="s">
        <v>24</v>
      </c>
      <c r="C15" s="68"/>
      <c r="D15" s="69"/>
      <c r="E15" s="70"/>
      <c r="F15" s="71"/>
      <c r="G15" s="72" t="str">
        <f t="shared" si="0"/>
        <v/>
      </c>
      <c r="H15" s="73" t="str">
        <f t="shared" si="1"/>
        <v/>
      </c>
      <c r="I15" s="74" t="str">
        <f t="shared" si="1"/>
        <v/>
      </c>
    </row>
    <row r="16" spans="1:9" x14ac:dyDescent="0.25">
      <c r="A16" s="36"/>
      <c r="B16" s="45" t="s">
        <v>25</v>
      </c>
      <c r="C16" s="75">
        <f>SUM(C17:C23)</f>
        <v>60206.478200278711</v>
      </c>
      <c r="D16" s="76">
        <f>SUM(D17:D23)</f>
        <v>28933.572234388477</v>
      </c>
      <c r="E16" s="77">
        <f>SUM(E17:E23)</f>
        <v>50807.958059592536</v>
      </c>
      <c r="F16" s="78">
        <f>SUM(F17:F23)</f>
        <v>35543.698984670511</v>
      </c>
      <c r="G16" s="79">
        <f t="shared" si="0"/>
        <v>84.389520161897352</v>
      </c>
      <c r="H16" s="80">
        <f t="shared" si="1"/>
        <v>175.60209174311927</v>
      </c>
      <c r="I16" s="81">
        <f t="shared" si="1"/>
        <v>69.956952300624621</v>
      </c>
    </row>
    <row r="17" spans="1:9" x14ac:dyDescent="0.25">
      <c r="A17" s="36"/>
      <c r="B17" s="45" t="s">
        <v>26</v>
      </c>
      <c r="C17" s="61">
        <f>73853.08/7.5345</f>
        <v>9801.988187670051</v>
      </c>
      <c r="D17" s="62">
        <f>68000/7.5345</f>
        <v>9025.1509721945713</v>
      </c>
      <c r="E17" s="63">
        <f>68628.72/7.5345</f>
        <v>9108.5964563010148</v>
      </c>
      <c r="F17" s="64">
        <f>64800/7.5345</f>
        <v>8600.4379852677685</v>
      </c>
      <c r="G17" s="65">
        <f t="shared" si="0"/>
        <v>92.926009314709688</v>
      </c>
      <c r="H17" s="66">
        <f t="shared" si="1"/>
        <v>100.92458823529411</v>
      </c>
      <c r="I17" s="67">
        <f t="shared" si="1"/>
        <v>94.421111161624466</v>
      </c>
    </row>
    <row r="18" spans="1:9" ht="28.5" x14ac:dyDescent="0.25">
      <c r="A18" s="36"/>
      <c r="B18" s="45" t="s">
        <v>27</v>
      </c>
      <c r="C18" s="68"/>
      <c r="D18" s="69">
        <v>0</v>
      </c>
      <c r="E18" s="70">
        <v>0</v>
      </c>
      <c r="F18" s="71">
        <v>0</v>
      </c>
      <c r="G18" s="72" t="str">
        <f t="shared" si="0"/>
        <v/>
      </c>
      <c r="H18" s="73" t="str">
        <f t="shared" si="1"/>
        <v/>
      </c>
      <c r="I18" s="74" t="str">
        <f t="shared" si="1"/>
        <v/>
      </c>
    </row>
    <row r="19" spans="1:9" ht="42.75" x14ac:dyDescent="0.25">
      <c r="A19" s="36"/>
      <c r="B19" s="45" t="s">
        <v>28</v>
      </c>
      <c r="C19" s="68"/>
      <c r="D19" s="69">
        <v>0</v>
      </c>
      <c r="E19" s="70">
        <v>0</v>
      </c>
      <c r="F19" s="71">
        <v>0</v>
      </c>
      <c r="G19" s="72" t="str">
        <f t="shared" si="0"/>
        <v/>
      </c>
      <c r="H19" s="73" t="str">
        <f t="shared" si="1"/>
        <v/>
      </c>
      <c r="I19" s="74" t="str">
        <f t="shared" si="1"/>
        <v/>
      </c>
    </row>
    <row r="20" spans="1:9" x14ac:dyDescent="0.25">
      <c r="A20" s="36"/>
      <c r="B20" s="45" t="s">
        <v>29</v>
      </c>
      <c r="C20" s="68">
        <f>27084.81/7.5345</f>
        <v>3594.7720485765481</v>
      </c>
      <c r="D20" s="69">
        <f>20000/7.5345</f>
        <v>2654.4561682925209</v>
      </c>
      <c r="E20" s="70">
        <f>10000/7.5345</f>
        <v>1327.2280841462605</v>
      </c>
      <c r="F20" s="71">
        <f>10000/7.5345</f>
        <v>1327.2280841462605</v>
      </c>
      <c r="G20" s="72">
        <f t="shared" si="0"/>
        <v>36.921063873071283</v>
      </c>
      <c r="H20" s="73">
        <f t="shared" si="1"/>
        <v>50</v>
      </c>
      <c r="I20" s="74">
        <f t="shared" si="1"/>
        <v>100</v>
      </c>
    </row>
    <row r="21" spans="1:9" x14ac:dyDescent="0.25">
      <c r="A21" s="36"/>
      <c r="B21" s="45" t="s">
        <v>30</v>
      </c>
      <c r="C21" s="68">
        <f>228626.2/7.5345</f>
        <v>30343.911341163977</v>
      </c>
      <c r="D21" s="69">
        <v>0</v>
      </c>
      <c r="E21" s="70">
        <f>126227.89/7.5345</f>
        <v>16753.320061052491</v>
      </c>
      <c r="F21" s="71">
        <f>70000/7.5345</f>
        <v>9290.596589023824</v>
      </c>
      <c r="G21" s="72">
        <f t="shared" si="0"/>
        <v>55.211471826063686</v>
      </c>
      <c r="H21" s="73" t="str">
        <f t="shared" si="1"/>
        <v/>
      </c>
      <c r="I21" s="74">
        <f t="shared" si="1"/>
        <v>55.455256362124096</v>
      </c>
    </row>
    <row r="22" spans="1:9" x14ac:dyDescent="0.25">
      <c r="A22" s="36"/>
      <c r="B22" s="45" t="s">
        <v>31</v>
      </c>
      <c r="C22" s="82"/>
      <c r="D22" s="83">
        <v>0</v>
      </c>
      <c r="E22" s="84">
        <v>0</v>
      </c>
      <c r="F22" s="85">
        <v>0</v>
      </c>
      <c r="G22" s="86" t="str">
        <f t="shared" si="0"/>
        <v/>
      </c>
      <c r="H22" s="87" t="str">
        <f t="shared" si="1"/>
        <v/>
      </c>
      <c r="I22" s="88" t="str">
        <f t="shared" si="1"/>
        <v/>
      </c>
    </row>
    <row r="23" spans="1:9" ht="29.25" thickBot="1" x14ac:dyDescent="0.3">
      <c r="A23" s="36"/>
      <c r="B23" s="45" t="s">
        <v>32</v>
      </c>
      <c r="C23" s="89">
        <f>124061.62/7.5345</f>
        <v>16465.806622868138</v>
      </c>
      <c r="D23" s="90">
        <f>130000/7.5345</f>
        <v>17253.965093901385</v>
      </c>
      <c r="E23" s="91">
        <f>177955.95/7.5345</f>
        <v>23618.813458092773</v>
      </c>
      <c r="F23" s="92">
        <f>123004/7.5345</f>
        <v>16325.436326232662</v>
      </c>
      <c r="G23" s="93">
        <f t="shared" si="0"/>
        <v>143.44158169142079</v>
      </c>
      <c r="H23" s="94">
        <f t="shared" si="1"/>
        <v>136.88919230769233</v>
      </c>
      <c r="I23" s="95">
        <f t="shared" si="1"/>
        <v>69.120476162780733</v>
      </c>
    </row>
    <row r="24" spans="1:9" ht="16.5" thickTop="1" thickBot="1" x14ac:dyDescent="0.3">
      <c r="A24" s="36"/>
      <c r="B24" s="96" t="s">
        <v>33</v>
      </c>
      <c r="C24" s="97">
        <f>224540.05/7.5345</f>
        <v>29801.586037560552</v>
      </c>
      <c r="D24" s="98">
        <f>132100/7.5345</f>
        <v>17532.682991572099</v>
      </c>
      <c r="E24" s="99">
        <f>470424.71/7.5345</f>
        <v>62436.088658836023</v>
      </c>
      <c r="F24" s="100">
        <f>154469.8/7.5345</f>
        <v>20501.665671245602</v>
      </c>
      <c r="G24" s="101">
        <f t="shared" si="0"/>
        <v>209.50592555760102</v>
      </c>
      <c r="H24" s="102">
        <f t="shared" si="1"/>
        <v>356.1125738077215</v>
      </c>
      <c r="I24" s="103">
        <f t="shared" si="1"/>
        <v>32.836242807058326</v>
      </c>
    </row>
    <row r="25" spans="1:9" ht="16.5" thickTop="1" thickBot="1" x14ac:dyDescent="0.3">
      <c r="A25" s="27" t="s">
        <v>34</v>
      </c>
      <c r="B25" s="104" t="s">
        <v>35</v>
      </c>
      <c r="C25" s="29">
        <f>SUM(C26,C39)</f>
        <v>2810545.4270356363</v>
      </c>
      <c r="D25" s="29">
        <f>SUM(D26,D39)</f>
        <v>2905247.4975114479</v>
      </c>
      <c r="E25" s="31">
        <f>SUM(E26,E39)</f>
        <v>3269350.179727084</v>
      </c>
      <c r="F25" s="32">
        <f>SUM(F26,F39)</f>
        <v>3520829.1128863967</v>
      </c>
      <c r="G25" s="33">
        <f t="shared" si="0"/>
        <v>116.32440266853692</v>
      </c>
      <c r="H25" s="34">
        <f t="shared" si="1"/>
        <v>112.53258741389558</v>
      </c>
      <c r="I25" s="35">
        <f t="shared" si="1"/>
        <v>107.69201582377772</v>
      </c>
    </row>
    <row r="26" spans="1:9" ht="15.75" thickBot="1" x14ac:dyDescent="0.3">
      <c r="A26" s="105"/>
      <c r="B26" s="37" t="s">
        <v>36</v>
      </c>
      <c r="C26" s="38">
        <f>SUM(C27,C28,C32,C35,C36,C37,C38)</f>
        <v>2791647.2453381117</v>
      </c>
      <c r="D26" s="38">
        <f>SUM(D27,D28,D32,D35,D36,D37,D38)</f>
        <v>2887613.1329218931</v>
      </c>
      <c r="E26" s="40">
        <f>SUM(E27,E28,E32,E35,E36,E37,E38)</f>
        <v>3253782.0570912091</v>
      </c>
      <c r="F26" s="41">
        <f>SUM(F27,F28,F32,F35,F36,F37,F38)</f>
        <v>3508220.4460870074</v>
      </c>
      <c r="G26" s="42">
        <f t="shared" si="0"/>
        <v>116.55419797486361</v>
      </c>
      <c r="H26" s="43">
        <f t="shared" si="1"/>
        <v>112.68067803109068</v>
      </c>
      <c r="I26" s="44">
        <f t="shared" si="1"/>
        <v>107.81977355985728</v>
      </c>
    </row>
    <row r="27" spans="1:9" ht="29.25" thickTop="1" x14ac:dyDescent="0.25">
      <c r="A27" s="36"/>
      <c r="B27" s="106" t="s">
        <v>37</v>
      </c>
      <c r="C27" s="107"/>
      <c r="D27" s="108"/>
      <c r="E27" s="109"/>
      <c r="F27" s="110"/>
      <c r="G27" s="111" t="str">
        <f t="shared" si="0"/>
        <v/>
      </c>
      <c r="H27" s="112" t="str">
        <f t="shared" si="1"/>
        <v/>
      </c>
      <c r="I27" s="113" t="str">
        <f t="shared" si="1"/>
        <v/>
      </c>
    </row>
    <row r="28" spans="1:9" x14ac:dyDescent="0.25">
      <c r="A28" s="36"/>
      <c r="B28" s="106" t="s">
        <v>38</v>
      </c>
      <c r="C28" s="46">
        <f>SUM(C29:C31)</f>
        <v>2030886.9825469505</v>
      </c>
      <c r="D28" s="46">
        <f>SUM(D29:D31)</f>
        <v>2118912.2489879886</v>
      </c>
      <c r="E28" s="48">
        <f>SUM(E29:E31)</f>
        <v>2390144.4873581524</v>
      </c>
      <c r="F28" s="49">
        <f>SUM(F29:F31)</f>
        <v>2482982.1859446545</v>
      </c>
      <c r="G28" s="50">
        <f t="shared" si="0"/>
        <v>117.68968474851587</v>
      </c>
      <c r="H28" s="51">
        <f t="shared" si="1"/>
        <v>112.80054133906239</v>
      </c>
      <c r="I28" s="52">
        <f t="shared" si="1"/>
        <v>103.88418771658094</v>
      </c>
    </row>
    <row r="29" spans="1:9" x14ac:dyDescent="0.25">
      <c r="A29" s="36"/>
      <c r="B29" s="53" t="s">
        <v>39</v>
      </c>
      <c r="C29" s="114">
        <f>1299865.35/7.5345</f>
        <v>172521.77981286086</v>
      </c>
      <c r="D29" s="115">
        <f>1369604/7.5345</f>
        <v>181777.6892959055</v>
      </c>
      <c r="E29" s="116">
        <f>1948364.23/7.5345</f>
        <v>258592.37242020041</v>
      </c>
      <c r="F29" s="117">
        <f>1974113.08/7.5345</f>
        <v>262009.83210564737</v>
      </c>
      <c r="G29" s="65">
        <f t="shared" si="0"/>
        <v>149.88969665204169</v>
      </c>
      <c r="H29" s="66">
        <f t="shared" si="1"/>
        <v>142.25748683561088</v>
      </c>
      <c r="I29" s="67">
        <f t="shared" si="1"/>
        <v>101.32156244728432</v>
      </c>
    </row>
    <row r="30" spans="1:9" x14ac:dyDescent="0.25">
      <c r="A30" s="36"/>
      <c r="B30" s="53" t="s">
        <v>40</v>
      </c>
      <c r="C30" s="68"/>
      <c r="D30" s="69">
        <v>0</v>
      </c>
      <c r="E30" s="70">
        <v>0</v>
      </c>
      <c r="F30" s="71">
        <v>0</v>
      </c>
      <c r="G30" s="72" t="str">
        <f t="shared" si="0"/>
        <v/>
      </c>
      <c r="H30" s="73" t="str">
        <f t="shared" si="1"/>
        <v/>
      </c>
      <c r="I30" s="74" t="str">
        <f t="shared" si="1"/>
        <v/>
      </c>
    </row>
    <row r="31" spans="1:9" x14ac:dyDescent="0.25">
      <c r="A31" s="36"/>
      <c r="B31" s="53" t="s">
        <v>41</v>
      </c>
      <c r="C31" s="68">
        <f>14001852.62/7.5345</f>
        <v>1858365.2027340897</v>
      </c>
      <c r="D31" s="69">
        <f>14595340.34/7.5345</f>
        <v>1937134.5596920829</v>
      </c>
      <c r="E31" s="70">
        <f>16060179.41/7.5345</f>
        <v>2131552.1149379518</v>
      </c>
      <c r="F31" s="71">
        <f>16733916.2/7.5345</f>
        <v>2220972.3538390072</v>
      </c>
      <c r="G31" s="72">
        <f t="shared" si="0"/>
        <v>114.70038891182102</v>
      </c>
      <c r="H31" s="73">
        <f t="shared" si="1"/>
        <v>110.03634746348092</v>
      </c>
      <c r="I31" s="74">
        <f t="shared" si="1"/>
        <v>104.19507636122978</v>
      </c>
    </row>
    <row r="32" spans="1:9" x14ac:dyDescent="0.25">
      <c r="A32" s="36"/>
      <c r="B32" s="106" t="s">
        <v>42</v>
      </c>
      <c r="C32" s="118">
        <f>SUM(C33:C34)</f>
        <v>422465.8079500962</v>
      </c>
      <c r="D32" s="119">
        <f>SUM(D33:D34)</f>
        <v>414540.47382042604</v>
      </c>
      <c r="E32" s="120">
        <f>SUM(E33:E34)</f>
        <v>486798.26929457829</v>
      </c>
      <c r="F32" s="121">
        <f>SUM(F33:F34)</f>
        <v>515587.85188134573</v>
      </c>
      <c r="G32" s="79">
        <f t="shared" si="0"/>
        <v>115.2278504280946</v>
      </c>
      <c r="H32" s="80">
        <f t="shared" si="1"/>
        <v>117.43081798701603</v>
      </c>
      <c r="I32" s="81">
        <f t="shared" si="1"/>
        <v>105.9140683939749</v>
      </c>
    </row>
    <row r="33" spans="1:9" x14ac:dyDescent="0.25">
      <c r="A33" s="36"/>
      <c r="B33" s="53" t="s">
        <v>43</v>
      </c>
      <c r="C33" s="114">
        <f>2929219.46/7.5345</f>
        <v>388774.23319397436</v>
      </c>
      <c r="D33" s="115">
        <f>2833474.68/7.5345</f>
        <v>376066.71710133384</v>
      </c>
      <c r="E33" s="116">
        <f>3384646.99/7.5345</f>
        <v>449219.85400491074</v>
      </c>
      <c r="F33" s="117">
        <f>3477356.67/7.5345</f>
        <v>461524.54310173198</v>
      </c>
      <c r="G33" s="65">
        <f t="shared" si="0"/>
        <v>115.54774356169273</v>
      </c>
      <c r="H33" s="66">
        <f t="shared" si="1"/>
        <v>119.45216994139507</v>
      </c>
      <c r="I33" s="67">
        <f t="shared" si="1"/>
        <v>102.73912405854769</v>
      </c>
    </row>
    <row r="34" spans="1:9" ht="28.5" x14ac:dyDescent="0.25">
      <c r="A34" s="36"/>
      <c r="B34" s="53" t="s">
        <v>44</v>
      </c>
      <c r="C34" s="68">
        <f>253849.17/7.5345</f>
        <v>33691.574756121838</v>
      </c>
      <c r="D34" s="69">
        <f>289880.52/7.5345</f>
        <v>38473.756719092176</v>
      </c>
      <c r="E34" s="70">
        <f>283134.57/7.5345</f>
        <v>37578.41528966753</v>
      </c>
      <c r="F34" s="71">
        <f>407340/7.5345</f>
        <v>54063.308779613777</v>
      </c>
      <c r="G34" s="72">
        <f t="shared" si="0"/>
        <v>111.53653565225368</v>
      </c>
      <c r="H34" s="73">
        <f t="shared" si="1"/>
        <v>97.672851559670164</v>
      </c>
      <c r="I34" s="74">
        <f t="shared" si="1"/>
        <v>143.8679847536809</v>
      </c>
    </row>
    <row r="35" spans="1:9" x14ac:dyDescent="0.25">
      <c r="A35" s="36"/>
      <c r="B35" s="106" t="s">
        <v>45</v>
      </c>
      <c r="C35" s="118">
        <f>1559437.61/7.5345</f>
        <v>206972.93914659234</v>
      </c>
      <c r="D35" s="119">
        <f>1999217.88/7.5345</f>
        <v>265341.8116663348</v>
      </c>
      <c r="E35" s="120">
        <f>1754914.47/7.5345</f>
        <v>232917.17698586499</v>
      </c>
      <c r="F35" s="121">
        <f>2815432/7.5345</f>
        <v>373672.04194040742</v>
      </c>
      <c r="G35" s="79">
        <f t="shared" si="0"/>
        <v>112.53508692790857</v>
      </c>
      <c r="H35" s="80">
        <f t="shared" si="1"/>
        <v>87.78005076665282</v>
      </c>
      <c r="I35" s="81">
        <f t="shared" si="1"/>
        <v>160.43129440946487</v>
      </c>
    </row>
    <row r="36" spans="1:9" ht="28.5" x14ac:dyDescent="0.25">
      <c r="A36" s="36"/>
      <c r="B36" s="106" t="s">
        <v>46</v>
      </c>
      <c r="C36" s="54">
        <f>61838.63/7.5345</f>
        <v>8207.3966421129462</v>
      </c>
      <c r="D36" s="55">
        <f>100000/7.5345</f>
        <v>13272.280841462605</v>
      </c>
      <c r="E36" s="56">
        <f>100000/7.5345</f>
        <v>13272.280841462605</v>
      </c>
      <c r="F36" s="57">
        <f>100000/7.5345</f>
        <v>13272.280841462605</v>
      </c>
      <c r="G36" s="58">
        <f t="shared" si="0"/>
        <v>161.71121514173262</v>
      </c>
      <c r="H36" s="59">
        <f t="shared" si="1"/>
        <v>100</v>
      </c>
      <c r="I36" s="60">
        <f t="shared" si="1"/>
        <v>100</v>
      </c>
    </row>
    <row r="37" spans="1:9" x14ac:dyDescent="0.25">
      <c r="A37" s="36"/>
      <c r="B37" s="106" t="s">
        <v>47</v>
      </c>
      <c r="C37" s="54">
        <f>126227.89/7.5345</f>
        <v>16753.320061052491</v>
      </c>
      <c r="D37" s="55">
        <f>105000/7.5345</f>
        <v>13935.894883535735</v>
      </c>
      <c r="E37" s="56">
        <f>105000/7.5345</f>
        <v>13935.894883535735</v>
      </c>
      <c r="F37" s="57">
        <f>155000/7.5345</f>
        <v>20572.035304267036</v>
      </c>
      <c r="G37" s="58">
        <f t="shared" si="0"/>
        <v>83.182884543186148</v>
      </c>
      <c r="H37" s="59">
        <f t="shared" si="1"/>
        <v>100</v>
      </c>
      <c r="I37" s="60">
        <f t="shared" si="1"/>
        <v>147.61904761904759</v>
      </c>
    </row>
    <row r="38" spans="1:9" ht="15.75" thickBot="1" x14ac:dyDescent="0.3">
      <c r="A38" s="36"/>
      <c r="B38" s="106" t="s">
        <v>48</v>
      </c>
      <c r="C38" s="122">
        <f>801375.44/7.5345</f>
        <v>106360.79899130664</v>
      </c>
      <c r="D38" s="123">
        <f>464203.73/7.5345</f>
        <v>61610.422722144795</v>
      </c>
      <c r="E38" s="124">
        <f>879381.239153716/7.5345</f>
        <v>116713.9477276151</v>
      </c>
      <c r="F38" s="125">
        <f>769529.00104256/7.5345</f>
        <v>102134.05017487025</v>
      </c>
      <c r="G38" s="126">
        <f t="shared" si="0"/>
        <v>109.733989246503</v>
      </c>
      <c r="H38" s="127">
        <f t="shared" si="1"/>
        <v>189.43864133830118</v>
      </c>
      <c r="I38" s="128">
        <f t="shared" si="1"/>
        <v>87.508007537564282</v>
      </c>
    </row>
    <row r="39" spans="1:9" ht="15.75" thickTop="1" x14ac:dyDescent="0.25">
      <c r="A39" s="129"/>
      <c r="B39" s="96" t="s">
        <v>49</v>
      </c>
      <c r="C39" s="107">
        <f>142388.35/7.5345</f>
        <v>18898.18169752472</v>
      </c>
      <c r="D39" s="108">
        <f>132866.12/7.5345</f>
        <v>17634.364589554712</v>
      </c>
      <c r="E39" s="109">
        <f>117298.02/7.5345</f>
        <v>15568.122635874975</v>
      </c>
      <c r="F39" s="110">
        <f>95000/7.5345</f>
        <v>12608.666799389475</v>
      </c>
      <c r="G39" s="111">
        <f t="shared" si="0"/>
        <v>82.37894462573658</v>
      </c>
      <c r="H39" s="112">
        <f t="shared" si="1"/>
        <v>88.28286699423451</v>
      </c>
      <c r="I39" s="113">
        <f t="shared" si="1"/>
        <v>80.990284405482711</v>
      </c>
    </row>
    <row r="40" spans="1:9" x14ac:dyDescent="0.25">
      <c r="A40" s="130" t="s">
        <v>50</v>
      </c>
      <c r="B40" s="131" t="s">
        <v>51</v>
      </c>
      <c r="C40" s="132">
        <f>IF((C7-C25)&gt;0,C7-C25,0)</f>
        <v>647192.67502820259</v>
      </c>
      <c r="D40" s="132">
        <f>IF((D7-D25)&gt;0,D7-D25,0)</f>
        <v>1211199.5129072927</v>
      </c>
      <c r="E40" s="133">
        <f>IF((E7-E25)&gt;0,E7-E25,0)</f>
        <v>929199.81430038996</v>
      </c>
      <c r="F40" s="134">
        <f>IF((F7-F25)&gt;0,F7-F25,0)</f>
        <v>979937.86567886965</v>
      </c>
      <c r="G40" s="135">
        <f t="shared" si="0"/>
        <v>143.57390776400527</v>
      </c>
      <c r="H40" s="136">
        <f t="shared" si="1"/>
        <v>76.717320672462364</v>
      </c>
      <c r="I40" s="137">
        <f t="shared" si="1"/>
        <v>105.46040266018362</v>
      </c>
    </row>
    <row r="41" spans="1:9" x14ac:dyDescent="0.25">
      <c r="A41" s="130" t="s">
        <v>52</v>
      </c>
      <c r="B41" s="131" t="s">
        <v>53</v>
      </c>
      <c r="C41" s="132">
        <f>IF((C25-C7)&gt;0,C25-C7,0)</f>
        <v>0</v>
      </c>
      <c r="D41" s="138"/>
      <c r="E41" s="133">
        <f>IF((E25-E7)&gt;0,E25-E7,0)</f>
        <v>0</v>
      </c>
      <c r="F41" s="134">
        <f>IF((F25-F7)&gt;0,F25-F7,0)</f>
        <v>0</v>
      </c>
      <c r="G41" s="135" t="str">
        <f t="shared" si="0"/>
        <v/>
      </c>
      <c r="H41" s="136" t="str">
        <f t="shared" si="1"/>
        <v/>
      </c>
      <c r="I41" s="137" t="str">
        <f t="shared" si="1"/>
        <v/>
      </c>
    </row>
    <row r="42" spans="1:9" x14ac:dyDescent="0.25">
      <c r="A42" s="130" t="s">
        <v>54</v>
      </c>
      <c r="B42" s="131" t="s">
        <v>55</v>
      </c>
      <c r="C42" s="139">
        <f>928149.63/7.5345</f>
        <v>123186.62552259605</v>
      </c>
      <c r="D42" s="140">
        <f>1642640.8914/7.5345</f>
        <v>218015.91232331275</v>
      </c>
      <c r="E42" s="141">
        <f>1260190.08015233/7.5345</f>
        <v>167255.96657406993</v>
      </c>
      <c r="F42" s="142">
        <f>1329001.53281234/7.5345</f>
        <v>176388.81582219654</v>
      </c>
      <c r="G42" s="135">
        <f t="shared" si="0"/>
        <v>135.77445267659374</v>
      </c>
      <c r="H42" s="136">
        <f t="shared" si="1"/>
        <v>76.717320672462222</v>
      </c>
      <c r="I42" s="137">
        <f t="shared" si="1"/>
        <v>105.46040266018379</v>
      </c>
    </row>
    <row r="43" spans="1:9" x14ac:dyDescent="0.25">
      <c r="A43" s="130" t="s">
        <v>56</v>
      </c>
      <c r="B43" s="131" t="s">
        <v>57</v>
      </c>
      <c r="C43" s="132">
        <f>IF((C7-C25-C42)&gt;0,C7-C25-C42,0)</f>
        <v>524006.04950560653</v>
      </c>
      <c r="D43" s="132">
        <f>IF((D7-D25-D42)&gt;0,D7-D25-D42,0)</f>
        <v>993183.60058397998</v>
      </c>
      <c r="E43" s="133">
        <f>IF((E7-E25-E42)&gt;0,E7-E25-E42,0)</f>
        <v>761943.84772632003</v>
      </c>
      <c r="F43" s="134">
        <f>IF((F7-F25-F42)&gt;0,F7-F25-F42,0)</f>
        <v>803549.04985667311</v>
      </c>
      <c r="G43" s="135">
        <f t="shared" si="0"/>
        <v>145.40745253708519</v>
      </c>
      <c r="H43" s="136">
        <f t="shared" si="1"/>
        <v>76.717320672462392</v>
      </c>
      <c r="I43" s="137">
        <f t="shared" si="1"/>
        <v>105.46040266018358</v>
      </c>
    </row>
    <row r="44" spans="1:9" ht="15.75" thickBot="1" x14ac:dyDescent="0.3">
      <c r="A44" s="143" t="s">
        <v>58</v>
      </c>
      <c r="B44" s="144" t="s">
        <v>59</v>
      </c>
      <c r="C44" s="145">
        <f>IF((C25-C7-C42)&gt;0,C25-C7-C42,0)</f>
        <v>0</v>
      </c>
      <c r="D44" s="146"/>
      <c r="E44" s="147">
        <f>IF((E25-E7-E42)&gt;0,E25-E7-E42,0)</f>
        <v>0</v>
      </c>
      <c r="F44" s="148">
        <f>IF((F25-F7-F42)&gt;0,F25-F7-F42,0)</f>
        <v>0</v>
      </c>
      <c r="G44" s="149" t="str">
        <f t="shared" si="0"/>
        <v/>
      </c>
      <c r="H44" s="150" t="str">
        <f t="shared" si="1"/>
        <v/>
      </c>
      <c r="I44" s="151" t="str">
        <f t="shared" si="1"/>
        <v/>
      </c>
    </row>
  </sheetData>
  <mergeCells count="4">
    <mergeCell ref="A2:I2"/>
    <mergeCell ref="A4:A5"/>
    <mergeCell ref="B4:B5"/>
    <mergeCell ref="G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Blagica Zupčić</dc:creator>
  <cp:lastModifiedBy>Blagica Zupčić</cp:lastModifiedBy>
  <dcterms:created xsi:type="dcterms:W3CDTF">2023-11-09T14:53:04Z</dcterms:created>
  <dcterms:modified xsi:type="dcterms:W3CDTF">2023-11-09T15:01:02Z</dcterms:modified>
</cp:coreProperties>
</file>